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ойКомп\Downloads\бюджет ЛСП 2026 год\"/>
    </mc:Choice>
  </mc:AlternateContent>
  <bookViews>
    <workbookView xWindow="0" yWindow="0" windowWidth="28800" windowHeight="12135"/>
  </bookViews>
  <sheets>
    <sheet name="Форма № 2.2 (отправка)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'Форма № 2.2 (отправка)'!$A$1:$L$56</definedName>
  </definedNames>
  <calcPr calcId="152511"/>
</workbook>
</file>

<file path=xl/calcChain.xml><?xml version="1.0" encoding="utf-8"?>
<calcChain xmlns="http://schemas.openxmlformats.org/spreadsheetml/2006/main">
  <c r="I46" i="1" l="1"/>
  <c r="H46" i="1"/>
  <c r="D46" i="1" l="1"/>
  <c r="J46" i="1"/>
  <c r="K46" i="1"/>
  <c r="L46" i="1"/>
  <c r="F46" i="1" l="1"/>
  <c r="C46" i="1"/>
  <c r="B46" i="1"/>
  <c r="H15" i="1"/>
  <c r="H28" i="1"/>
  <c r="H18" i="1"/>
  <c r="H14" i="1"/>
  <c r="H31" i="1"/>
  <c r="H27" i="1"/>
  <c r="H24" i="1"/>
  <c r="H23" i="1"/>
  <c r="H22" i="1"/>
  <c r="H20" i="1"/>
  <c r="H19" i="1"/>
  <c r="H17" i="1"/>
  <c r="F28" i="1" l="1"/>
  <c r="F18" i="1"/>
  <c r="F15" i="1"/>
  <c r="F14" i="1"/>
  <c r="F26" i="1" l="1"/>
  <c r="C24" i="1" l="1"/>
  <c r="C23" i="1"/>
  <c r="C22" i="1"/>
  <c r="D24" i="1" l="1"/>
  <c r="D23" i="1"/>
  <c r="D22" i="1"/>
  <c r="H13" i="1"/>
  <c r="G27" i="1" l="1"/>
  <c r="F27" i="1" s="1"/>
  <c r="F17" i="1"/>
  <c r="F30" i="1"/>
  <c r="F31" i="1"/>
  <c r="F24" i="1"/>
  <c r="F23" i="1"/>
  <c r="F22" i="1"/>
  <c r="F20" i="1"/>
  <c r="F19" i="1"/>
  <c r="F13" i="1"/>
  <c r="D31" i="1"/>
  <c r="C31" i="1"/>
  <c r="D27" i="1"/>
  <c r="C27" i="1"/>
  <c r="D20" i="1"/>
  <c r="C20" i="1"/>
  <c r="D19" i="1"/>
  <c r="D17" i="1"/>
  <c r="D13" i="1"/>
  <c r="C19" i="1"/>
  <c r="C17" i="1"/>
  <c r="C13" i="1"/>
  <c r="D34" i="1" l="1"/>
  <c r="C34" i="1"/>
  <c r="E27" i="1"/>
  <c r="D30" i="1"/>
  <c r="D29" i="1" s="1"/>
  <c r="D12" i="1"/>
  <c r="C12" i="1"/>
  <c r="C30" i="1"/>
  <c r="C29" i="1" s="1"/>
  <c r="D26" i="1"/>
  <c r="D25" i="1" s="1"/>
  <c r="C26" i="1"/>
  <c r="C25" i="1" s="1"/>
  <c r="D21" i="1"/>
  <c r="C21" i="1"/>
  <c r="D16" i="1"/>
  <c r="C16" i="1"/>
  <c r="B31" i="1"/>
  <c r="B27" i="1"/>
  <c r="E26" i="1" s="1"/>
  <c r="B24" i="1"/>
  <c r="B23" i="1"/>
  <c r="B22" i="1"/>
  <c r="B20" i="1"/>
  <c r="B19" i="1"/>
  <c r="B17" i="1"/>
  <c r="B13" i="1"/>
  <c r="C11" i="1" l="1"/>
  <c r="D11" i="1"/>
  <c r="H30" i="1" l="1"/>
  <c r="H26" i="1"/>
  <c r="H16" i="1"/>
  <c r="H12" i="1"/>
  <c r="B30" i="1"/>
  <c r="B26" i="1"/>
  <c r="B16" i="1"/>
  <c r="B12" i="1"/>
  <c r="I34" i="1"/>
  <c r="H34" i="1"/>
  <c r="B11" i="1" l="1"/>
  <c r="B34" i="1"/>
  <c r="B21" i="1" l="1"/>
  <c r="L29" i="1" l="1"/>
  <c r="B29" i="1"/>
  <c r="L25" i="1"/>
  <c r="H25" i="1"/>
  <c r="L21" i="1"/>
  <c r="H21" i="1"/>
  <c r="L11" i="1"/>
  <c r="J34" i="1" l="1"/>
  <c r="L33" i="1"/>
  <c r="B25" i="1"/>
  <c r="B33" i="1" s="1"/>
  <c r="H29" i="1"/>
  <c r="H11" i="1" l="1"/>
  <c r="H33" i="1" s="1"/>
  <c r="D33" i="1"/>
  <c r="C33" i="1"/>
</calcChain>
</file>

<file path=xl/sharedStrings.xml><?xml version="1.0" encoding="utf-8"?>
<sst xmlns="http://schemas.openxmlformats.org/spreadsheetml/2006/main" count="128" uniqueCount="66">
  <si>
    <t>Наименование показателя</t>
  </si>
  <si>
    <t>Показатель количества работников бюджетной сферы, используемый при расчете потребности
 (с указанием - среднесписочная), ед.</t>
  </si>
  <si>
    <t>Планируемый для направления на повышение оплаты труда работников бюджетной сферы объем экономии средств за счет реорганизации неэффективных организаций</t>
  </si>
  <si>
    <t>Всего</t>
  </si>
  <si>
    <t>в т.ч. за счет бюджета</t>
  </si>
  <si>
    <t>Всего принято в бюджете</t>
  </si>
  <si>
    <t>в т.ч. за счет дотации на заработную плату из федерального бюджета</t>
  </si>
  <si>
    <t>Фактическая средняя заработная плата по экономике региона в 2017 году</t>
  </si>
  <si>
    <t>x</t>
  </si>
  <si>
    <t>Ожидаемая средняя заработная плата по экономике региона в 2018 году</t>
  </si>
  <si>
    <t xml:space="preserve">Педагогические работники сферы образования </t>
  </si>
  <si>
    <t>х</t>
  </si>
  <si>
    <t xml:space="preserve">Педагогические работники образовательных учреждений общего образования </t>
  </si>
  <si>
    <t>Педагогические работники дошкольных образовательных учреждений</t>
  </si>
  <si>
    <t>Педагогические работники дополнительного образования детей</t>
  </si>
  <si>
    <t>Преподаватели и мастера среднего профессионального образования</t>
  </si>
  <si>
    <t>Педагогические работники детских домов</t>
  </si>
  <si>
    <t>Работники учреждений здравоохранения 
(по всем категориям без учета ОМС)</t>
  </si>
  <si>
    <t>Врачи и работники медицинских организаций, имеющие высшее профессиональное образование</t>
  </si>
  <si>
    <t>Средний медицинский персонал</t>
  </si>
  <si>
    <t>Младший медицинский персонал (персонал, обеспечивающий предоставление медицинских услуг)</t>
  </si>
  <si>
    <t>Работники учреждений культуры</t>
  </si>
  <si>
    <t>Социальные работники</t>
  </si>
  <si>
    <t>ИТОГО по "указным" категориям работников</t>
  </si>
  <si>
    <t xml:space="preserve"> - в государственных учреждениях</t>
  </si>
  <si>
    <t>ВСЕГО с учетом  "указных" категорий</t>
  </si>
  <si>
    <t>стр.13 - к уровню средней заработной платы в сфере общего образования (гр.5, 7)</t>
  </si>
  <si>
    <t>стр.14 - к уровню средней заработной платы учителей</t>
  </si>
  <si>
    <t>*** в целях соблюдения единообразного подхода к формированию показателей, используемых в двух таблицах, предусмотренных формой 2.2, в графах с 9 по 11 второй таблицы показатели дополнены объемами начислений на выплаты по оплате труда</t>
  </si>
  <si>
    <t>ГУ</t>
  </si>
  <si>
    <t>МУ</t>
  </si>
  <si>
    <t>ИТОГО ГУ</t>
  </si>
  <si>
    <t>Расходы по заработной плате работников бюджетной сферы в 2018 году (отчетный год) , тыс. рублей</t>
  </si>
  <si>
    <t xml:space="preserve">Уровень средней заработной платы к  среднему доходу от трудовой деятельности, установленный на 2018 год (отчетный год), %  </t>
  </si>
  <si>
    <t>Уровень средней заработной платы к  среднему доходу от трудовой деятельности, установленный на 2019 год (текущий год), %</t>
  </si>
  <si>
    <t>Планируемая средняя заработнаая плата в 2019 году (текущий год), руб.</t>
  </si>
  <si>
    <t>Дополнительная потребность в средствах на повышение оплаты труда в соответствии с указами Президента Российской Федерации  от 7 мая 2012 г. № 597, от 1 июня 2012 г. № 761, от 28 декабря 2012 г. № 1688
(прирост расходов на оплату труда с начислениями к уровню 2018 года,
без учета средств ОМС), тыс. рублей</t>
  </si>
  <si>
    <t xml:space="preserve">Предусмотрено на 2019 год в консолидированном бюджете субъекта РФ на повышение оплаты труда работников бюджетной сферы в соответствии с указами Президента Российской Федерации, тыс. рублей </t>
  </si>
  <si>
    <t>Ожидаемый средний  доход от трудовой деятельности региона в 2019 году</t>
  </si>
  <si>
    <t>Фактический средний  доход от трудовой деятельности региона в 2018 году *</t>
  </si>
  <si>
    <t>И.О. Фамилия</t>
  </si>
  <si>
    <t>Показатель количества работников 
в текущем году</t>
  </si>
  <si>
    <t xml:space="preserve">Фактическая средняя заработнаая плата в текущем году, руб. </t>
  </si>
  <si>
    <t>Показатель количества работников, используемый при расчете потребности на очередной год</t>
  </si>
  <si>
    <t>Планируемая средняя заработная плата в очередном году, руб.</t>
  </si>
  <si>
    <t xml:space="preserve">Предусмотрено в бюджете муниицпального района (городского округа) на очередной год c начислениями на выплаты по оплате труда**, тыс. рублей </t>
  </si>
  <si>
    <t>Общий объем расходов (потребность) по заработной плате работников в очередном году  с начислениями на выплаты по оплате труда, тыс. рублей</t>
  </si>
  <si>
    <t>Общий объем расходов по заработной плате работников с начислениями в текущем году, тыс. рублей</t>
  </si>
  <si>
    <t>в том числе прирост расходов на повышение заработной платы работников с начислениями в текущем году, тыс. рублей</t>
  </si>
  <si>
    <t>1. Педагогические работники дополнительного образования*</t>
  </si>
  <si>
    <t>2. Работники учреждений культуры*</t>
  </si>
  <si>
    <t>3. Руководители муниципальных учреждений бюджетной сферы</t>
  </si>
  <si>
    <t>4. Иные категории работников муницпальных учреждений бюджетной сферы</t>
  </si>
  <si>
    <t>5. Органы местного самоуправления</t>
  </si>
  <si>
    <t>из них  прирост расходов на повышение заработной платы работников в очередном году, тыс. рублей</t>
  </si>
  <si>
    <t>повышение оплаты труда до минимального размера оплаты труда, установленного на очередной год</t>
  </si>
  <si>
    <t>*сумма расходов по строкам 1 и 2 граф 3 и 8 должна соответствовать данным, указанным по строке 1.1. в графах 2 и 3 "ФОТ работников "указных" категорий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</si>
  <si>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6. ИТОГО</t>
  </si>
  <si>
    <t>**сумма расходов по строке 6 графам 3 и 8 должна соответствовать данным, указанным по строке 1. в графах 2 и 3 "ФОТ с начислениями (казенные, бюджетные, автономные учреждения), в т.ч.:"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</si>
  <si>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Приложение 5
к Порядку представления на заключение в Министерство финансов Республики Карелия органами местного самоуправления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</si>
  <si>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 xml:space="preserve">индексация текущего года </t>
  </si>
  <si>
    <t>индексация с  очередного года</t>
  </si>
  <si>
    <t>Расчет потребности бюджета Луусалмского сельского поселения  на выплату заработной платы с начислениями работников муниципальных учреждений на очередной финансовый год за счет средств местных бюджетов</t>
  </si>
  <si>
    <t xml:space="preserve">Глава Луусалмского сельского поселения:                           </t>
  </si>
  <si>
    <t>И.М.Мартинкиян</t>
  </si>
  <si>
    <t>"14" ноября 2025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</si>
</sst>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2">
    <xf numFmtId="0" fontId="0" fillId="0" borderId="0"/>
    <xf numFmtId="0" fontId="1" fillId="0" borderId="0"/>
    <xf numFmtId="0" fontId="8" fillId="0" borderId="0"/>
    <xf numFmtId="0" fontId="1" fillId="0" borderId="0"/>
    <xf numFmtId="0" fontId="1" fillId="0" borderId="3" applyNumberFormat="0">
      <alignment horizontal="right" vertical="top"/>
    </xf>
    <xf numFmtId="0" fontId="9" fillId="0" borderId="8" applyNumberFormat="0">
      <alignment horizontal="right" vertical="top"/>
    </xf>
    <xf numFmtId="0" fontId="1" fillId="2" borderId="3" applyNumberFormat="0">
      <alignment horizontal="right" vertical="top"/>
    </xf>
    <xf numFmtId="49" fontId="1" fillId="3" borderId="3">
      <alignment horizontal="left" vertical="top"/>
    </xf>
    <xf numFmtId="49" fontId="2" fillId="0" borderId="3">
      <alignment horizontal="left" vertical="top"/>
    </xf>
    <xf numFmtId="0" fontId="1" fillId="4" borderId="3">
      <alignment horizontal="left" vertical="top" wrapText="1"/>
    </xf>
    <xf numFmtId="0" fontId="2" fillId="0" borderId="3">
      <alignment horizontal="left" vertical="top" wrapText="1"/>
    </xf>
    <xf numFmtId="0" fontId="1" fillId="5" borderId="3">
      <alignment horizontal="left" vertical="top" wrapText="1"/>
    </xf>
    <xf numFmtId="0" fontId="1" fillId="6" borderId="3">
      <alignment horizontal="left" vertical="top" wrapText="1"/>
    </xf>
    <xf numFmtId="0" fontId="1" fillId="7" borderId="3">
      <alignment horizontal="left" vertical="top" wrapText="1"/>
    </xf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0" fillId="0" borderId="0">
      <alignment horizontal="left" vertical="top"/>
    </xf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4" borderId="9" applyNumberFormat="0">
      <alignment horizontal="right" vertical="top"/>
    </xf>
    <xf numFmtId="0" fontId="1" fillId="5" borderId="9" applyNumberFormat="0">
      <alignment horizontal="right" vertical="top"/>
    </xf>
    <xf numFmtId="0" fontId="1" fillId="0" borderId="3" applyNumberFormat="0">
      <alignment horizontal="right" vertical="top"/>
    </xf>
    <xf numFmtId="0" fontId="1" fillId="0" borderId="3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3" applyNumberFormat="0">
      <alignment horizontal="right" vertical="top"/>
    </xf>
    <xf numFmtId="9" fontId="9" fillId="0" borderId="0" applyFont="0" applyFill="0" applyBorder="0" applyAlignment="0" applyProtection="0"/>
    <xf numFmtId="49" fontId="13" fillId="9" borderId="3">
      <alignment horizontal="left" vertical="top" wrapText="1"/>
    </xf>
    <xf numFmtId="49" fontId="14" fillId="0" borderId="3">
      <alignment horizontal="left" vertical="top" wrapText="1"/>
    </xf>
    <xf numFmtId="164" fontId="9" fillId="0" borderId="0" applyFont="0" applyFill="0" applyBorder="0" applyAlignment="0" applyProtection="0"/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" fillId="0" borderId="0"/>
  </cellStyleXfs>
  <cellXfs count="79">
    <xf numFmtId="0" fontId="0" fillId="0" borderId="0" xfId="0"/>
    <xf numFmtId="0" fontId="4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165" fontId="5" fillId="0" borderId="3" xfId="1" applyNumberFormat="1" applyFont="1" applyBorder="1" applyAlignment="1">
      <alignment vertical="center"/>
    </xf>
    <xf numFmtId="0" fontId="6" fillId="0" borderId="6" xfId="1" applyFont="1" applyBorder="1" applyAlignment="1">
      <alignment vertical="center" wrapText="1"/>
    </xf>
    <xf numFmtId="165" fontId="5" fillId="0" borderId="3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7" xfId="1" applyFont="1" applyBorder="1" applyAlignment="1">
      <alignment vertical="center" wrapText="1"/>
    </xf>
    <xf numFmtId="0" fontId="6" fillId="0" borderId="0" xfId="1" applyFont="1"/>
    <xf numFmtId="0" fontId="6" fillId="0" borderId="3" xfId="1" applyFont="1" applyBorder="1"/>
    <xf numFmtId="165" fontId="5" fillId="0" borderId="3" xfId="1" applyNumberFormat="1" applyFont="1" applyBorder="1"/>
    <xf numFmtId="0" fontId="7" fillId="0" borderId="0" xfId="1" applyFont="1"/>
    <xf numFmtId="0" fontId="16" fillId="0" borderId="3" xfId="1" applyFont="1" applyBorder="1" applyAlignment="1">
      <alignment horizontal="center" vertical="center"/>
    </xf>
    <xf numFmtId="165" fontId="7" fillId="0" borderId="0" xfId="1" applyNumberFormat="1" applyFont="1"/>
    <xf numFmtId="0" fontId="15" fillId="0" borderId="6" xfId="1" applyFont="1" applyBorder="1" applyAlignment="1">
      <alignment vertical="center" wrapText="1"/>
    </xf>
    <xf numFmtId="165" fontId="17" fillId="0" borderId="3" xfId="1" applyNumberFormat="1" applyFont="1" applyBorder="1" applyAlignment="1">
      <alignment vertical="center"/>
    </xf>
    <xf numFmtId="0" fontId="18" fillId="0" borderId="0" xfId="1" applyFont="1"/>
    <xf numFmtId="165" fontId="5" fillId="0" borderId="3" xfId="1" applyNumberFormat="1" applyFont="1" applyBorder="1" applyAlignment="1">
      <alignment horizontal="center"/>
    </xf>
    <xf numFmtId="0" fontId="3" fillId="0" borderId="3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165" fontId="3" fillId="0" borderId="0" xfId="1" applyNumberFormat="1" applyFont="1"/>
    <xf numFmtId="0" fontId="7" fillId="0" borderId="0" xfId="1" applyFont="1" applyAlignment="1">
      <alignment wrapText="1"/>
    </xf>
    <xf numFmtId="165" fontId="6" fillId="0" borderId="0" xfId="1" applyNumberFormat="1" applyFont="1"/>
    <xf numFmtId="0" fontId="19" fillId="0" borderId="0" xfId="1" applyFont="1"/>
    <xf numFmtId="0" fontId="6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/>
    </xf>
    <xf numFmtId="0" fontId="6" fillId="0" borderId="0" xfId="1" applyFont="1" applyAlignment="1">
      <alignment wrapText="1"/>
    </xf>
    <xf numFmtId="165" fontId="5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" fillId="0" borderId="3" xfId="1" applyFont="1" applyBorder="1" applyAlignment="1">
      <alignment wrapText="1"/>
    </xf>
    <xf numFmtId="0" fontId="6" fillId="0" borderId="3" xfId="1" applyFont="1" applyBorder="1" applyAlignment="1">
      <alignment horizontal="left" vertical="top" wrapText="1"/>
    </xf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165" fontId="5" fillId="0" borderId="0" xfId="1" applyNumberFormat="1" applyFont="1"/>
    <xf numFmtId="0" fontId="6" fillId="0" borderId="0" xfId="1" applyFont="1" applyAlignment="1">
      <alignment horizontal="center"/>
    </xf>
    <xf numFmtId="165" fontId="5" fillId="0" borderId="0" xfId="1" applyNumberFormat="1" applyFont="1" applyAlignment="1">
      <alignment horizontal="center"/>
    </xf>
    <xf numFmtId="0" fontId="6" fillId="0" borderId="0" xfId="1" applyFont="1" applyAlignment="1">
      <alignment horizontal="left" vertical="center"/>
    </xf>
    <xf numFmtId="0" fontId="0" fillId="0" borderId="1" xfId="0" applyBorder="1"/>
    <xf numFmtId="0" fontId="23" fillId="0" borderId="0" xfId="0" applyFont="1" applyAlignment="1">
      <alignment horizontal="right"/>
    </xf>
    <xf numFmtId="0" fontId="24" fillId="10" borderId="0" xfId="61" applyFont="1" applyFill="1" applyAlignment="1">
      <alignment wrapText="1"/>
    </xf>
    <xf numFmtId="0" fontId="25" fillId="0" borderId="0" xfId="0" applyFont="1" applyAlignment="1">
      <alignment wrapText="1"/>
    </xf>
    <xf numFmtId="0" fontId="24" fillId="10" borderId="0" xfId="61" applyFont="1" applyFill="1" applyAlignment="1">
      <alignment horizontal="center" vertical="top" wrapText="1"/>
    </xf>
    <xf numFmtId="0" fontId="22" fillId="10" borderId="0" xfId="61" applyFont="1" applyFill="1" applyAlignment="1">
      <alignment vertical="top" wrapText="1"/>
    </xf>
    <xf numFmtId="0" fontId="3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 wrapText="1"/>
    </xf>
    <xf numFmtId="0" fontId="24" fillId="10" borderId="0" xfId="61" applyFont="1" applyFill="1" applyAlignment="1">
      <alignment horizontal="left" vertical="top" wrapText="1"/>
    </xf>
    <xf numFmtId="0" fontId="26" fillId="10" borderId="0" xfId="61" applyFont="1" applyFill="1" applyAlignment="1">
      <alignment horizontal="left" wrapText="1"/>
    </xf>
    <xf numFmtId="164" fontId="5" fillId="0" borderId="3" xfId="1" applyNumberFormat="1" applyFont="1" applyBorder="1" applyAlignment="1">
      <alignment horizontal="center" vertical="center" wrapText="1"/>
    </xf>
    <xf numFmtId="164" fontId="5" fillId="0" borderId="4" xfId="1" applyNumberFormat="1" applyFont="1" applyBorder="1" applyAlignment="1">
      <alignment horizontal="center" vertical="center" wrapText="1"/>
    </xf>
    <xf numFmtId="164" fontId="16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3" fontId="5" fillId="0" borderId="3" xfId="1" applyNumberFormat="1" applyFont="1" applyBorder="1" applyAlignment="1">
      <alignment horizontal="center" vertical="center"/>
    </xf>
    <xf numFmtId="0" fontId="6" fillId="0" borderId="0" xfId="1" applyFont="1" applyAlignment="1">
      <alignment horizontal="righ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3" fillId="0" borderId="2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24" fillId="10" borderId="0" xfId="61" applyFont="1" applyFill="1" applyAlignment="1">
      <alignment horizontal="left" vertical="top" wrapText="1"/>
    </xf>
    <xf numFmtId="0" fontId="21" fillId="0" borderId="0" xfId="1" applyFont="1" applyAlignment="1">
      <alignment horizontal="left" vertical="center" wrapText="1"/>
    </xf>
    <xf numFmtId="0" fontId="26" fillId="10" borderId="0" xfId="61" applyFont="1" applyFill="1" applyAlignment="1">
      <alignment horizontal="left" wrapText="1"/>
    </xf>
    <xf numFmtId="0" fontId="7" fillId="0" borderId="0" xfId="1" applyFont="1" applyAlignment="1">
      <alignment horizont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wrapText="1"/>
    </xf>
    <xf numFmtId="0" fontId="27" fillId="10" borderId="0" xfId="61" applyFont="1" applyFill="1" applyAlignment="1">
      <alignment vertical="top" wrapText="1"/>
    </xf>
    <xf numFmtId="0" fontId="27" fillId="10" borderId="1" xfId="61" applyFont="1" applyFill="1" applyBorder="1" applyAlignment="1">
      <alignment vertical="top" wrapText="1"/>
    </xf>
    <xf numFmtId="0" fontId="27" fillId="10" borderId="0" xfId="61" applyFont="1" applyFill="1" applyAlignment="1">
      <alignment wrapText="1"/>
    </xf>
    <xf numFmtId="0" fontId="14" fillId="0" borderId="0" xfId="1" applyFont="1"/>
  </cellXfs>
  <cellStyles count="62">
    <cellStyle name="Excel Built-in Normal" xfId="2"/>
    <cellStyle name="Normal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10" xfId="17"/>
    <cellStyle name="Обычный 11" xfId="18"/>
    <cellStyle name="Обычный 12" xfId="19"/>
    <cellStyle name="Обычный 13" xfId="20"/>
    <cellStyle name="Обычный 14" xfId="21"/>
    <cellStyle name="Обычный 15" xfId="22"/>
    <cellStyle name="Обычный 16" xfId="23"/>
    <cellStyle name="Обычный 17" xfId="24"/>
    <cellStyle name="Обычный 18" xfId="25"/>
    <cellStyle name="Обычный 19" xfId="26"/>
    <cellStyle name="Обычный 2" xfId="27"/>
    <cellStyle name="Обычный 2 2" xfId="28"/>
    <cellStyle name="Обычный 2 3" xfId="61"/>
    <cellStyle name="Обычный 20" xfId="29"/>
    <cellStyle name="Обычный 21" xfId="30"/>
    <cellStyle name="Обычный 22" xfId="31"/>
    <cellStyle name="Обычный 23" xfId="32"/>
    <cellStyle name="Обычный 24" xfId="33"/>
    <cellStyle name="Обычный 25" xfId="34"/>
    <cellStyle name="Обычный 26" xfId="35"/>
    <cellStyle name="Обычный 27" xfId="36"/>
    <cellStyle name="Обычный 28" xfId="37"/>
    <cellStyle name="Обычный 29" xfId="38"/>
    <cellStyle name="Обычный 3" xfId="1"/>
    <cellStyle name="Обычный 3 2" xfId="39"/>
    <cellStyle name="Обычный 30" xfId="40"/>
    <cellStyle name="Обычный 31" xfId="41"/>
    <cellStyle name="Обычный 4" xfId="42"/>
    <cellStyle name="Обычный 4 2" xfId="43"/>
    <cellStyle name="Обычный 5" xfId="44"/>
    <cellStyle name="Обычный 6" xfId="45"/>
    <cellStyle name="Обычный 7" xfId="46"/>
    <cellStyle name="Обычный 8" xfId="47"/>
    <cellStyle name="Обычный 9" xfId="48"/>
    <cellStyle name="Отдельная ячейка" xfId="49"/>
    <cellStyle name="Отдельная ячейка - константа" xfId="50"/>
    <cellStyle name="Отдельная ячейка - константа [печать]" xfId="51"/>
    <cellStyle name="Отдельная ячейка [печать]" xfId="52"/>
    <cellStyle name="Отдельная ячейка-результат" xfId="53"/>
    <cellStyle name="Отдельная ячейка-результат [печать]" xfId="54"/>
    <cellStyle name="Процентный 2" xfId="55"/>
    <cellStyle name="Свойства элементов измерения" xfId="56"/>
    <cellStyle name="Свойства элементов измерения [печать]" xfId="57"/>
    <cellStyle name="Финансовый 2" xfId="58"/>
    <cellStyle name="Элементы осей" xfId="59"/>
    <cellStyle name="Элементы осей [печать]" xfId="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6;&#1040;&#1057;&#1063;&#1045;&#1058;&#1067;%20&#1055;&#1054;%20&#1059;&#1050;&#1040;&#1047;&#1040;&#1052;%20&#1055;&#1056;&#1060;/&#1041;&#1070;&#1044;&#1046;&#1045;&#1058;%202019/&#1056;&#1040;&#1057;&#1063;&#1045;&#1058;%20&#1085;&#1072;%202019%20&#1075;&#1086;&#1076;%20&#1087;&#1086;%20&#1043;&#1059;%20(&#1087;&#1086;&#1076;%2035,5%20&#1090;.&#1088;.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&#1057;&#1042;&#1054;&#1044;%20&#1084;&#1086;&#1085;&#1080;&#1090;&#1086;&#1088;&#1080;&#1085;&#1075;%202018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55;&#1048;&#1057;&#1068;&#1052;&#1040;/2019/&#1085;&#1072;%20&#1079;&#1072;&#1087;&#1088;&#1086;&#1089;&#1099;%20&#1060;&#1054;&#1048;&#1042;/&#1079;&#1072;&#1087;&#1088;&#1086;&#1089;%20&#1052;&#1080;&#1085;&#1090;&#1088;&#1091;&#1076;&#1072;%20&#1056;&#1060;%20&#1086;&#1090;%2011.01.2019%20(&#1086;&#1073;&#1077;&#1089;&#1087;&#1077;&#1095;&#1077;&#1085;&#1085;&#1086;&#1089;&#1090;&#1100;%202019)/&#1087;&#1088;&#1080;&#1083;&#1086;&#1078;&#1077;&#1085;&#1080;&#1077;%20-%20&#1063;&#1077;&#1087;&#1080;&#1082;&#1091;%20&#1040;.&#1045;.&#1087;&#1088;&#1086;&#1077;&#1082;&#1090;%20&#1086;&#1090;&#1074;&#1077;&#1090;&#1072;%20&#1074;%20&#1052;&#1080;&#1085;&#1090;&#1088;&#1091;&#1076;%20&#1056;&#1060;%20(&#1059;&#1082;&#1072;&#1079;&#1099;%20&#1055;&#1056;&#106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0%20-%20&#1088;&#1072;&#1089;&#1096;&#1080;&#1092;&#1088;&#1086;&#1074;&#1082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_19-21"/>
      <sheetName val="Приложение_19-21 (разбивка)"/>
      <sheetName val="сравнит.числен.ГРБС"/>
      <sheetName val="ГУ расчет"/>
      <sheetName val="МУ расчет"/>
    </sheetNames>
    <sheetDataSet>
      <sheetData sheetId="0" refreshError="1"/>
      <sheetData sheetId="1" refreshError="1"/>
      <sheetData sheetId="2" refreshError="1"/>
      <sheetData sheetId="3" refreshError="1">
        <row r="14">
          <cell r="E14">
            <v>330.2</v>
          </cell>
        </row>
        <row r="24">
          <cell r="E24">
            <v>609.5</v>
          </cell>
        </row>
        <row r="45">
          <cell r="E45">
            <v>1095.4000000000001</v>
          </cell>
        </row>
        <row r="50">
          <cell r="E50">
            <v>344.90000000000003</v>
          </cell>
        </row>
        <row r="65">
          <cell r="E65">
            <v>683.40000000000009</v>
          </cell>
        </row>
        <row r="80">
          <cell r="E80">
            <v>742</v>
          </cell>
        </row>
        <row r="95">
          <cell r="E95">
            <v>677.5</v>
          </cell>
        </row>
        <row r="120">
          <cell r="E120">
            <v>47</v>
          </cell>
        </row>
        <row r="130">
          <cell r="E130">
            <v>52.8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о"/>
      <sheetName val="800"/>
      <sheetName val="801"/>
      <sheetName val="802"/>
      <sheetName val="803"/>
      <sheetName val="804"/>
      <sheetName val="805"/>
      <sheetName val="806"/>
      <sheetName val="810"/>
      <sheetName val="811"/>
      <sheetName val="812"/>
      <sheetName val="814"/>
      <sheetName val="816"/>
      <sheetName val="824"/>
      <sheetName val="825"/>
      <sheetName val="826"/>
      <sheetName val="833"/>
      <sheetName val="835"/>
      <sheetName val="Приложение1"/>
      <sheetName val="Приложение2"/>
      <sheetName val="planerka"/>
      <sheetName val="ЗАМы"/>
      <sheetName val="Приложение"/>
    </sheetNames>
    <sheetDataSet>
      <sheetData sheetId="0">
        <row r="68">
          <cell r="Q68">
            <v>127019.9</v>
          </cell>
          <cell r="U68">
            <v>2031.8</v>
          </cell>
          <cell r="Y68">
            <v>126636.8</v>
          </cell>
          <cell r="AB68">
            <v>2031.8</v>
          </cell>
        </row>
        <row r="70">
          <cell r="Q70">
            <v>17498.3</v>
          </cell>
          <cell r="U70">
            <v>648.29999999999995</v>
          </cell>
          <cell r="Y70">
            <v>17361</v>
          </cell>
          <cell r="AB70">
            <v>646.5</v>
          </cell>
        </row>
        <row r="73">
          <cell r="Q73">
            <v>200360.6</v>
          </cell>
          <cell r="U73">
            <v>11928.6</v>
          </cell>
          <cell r="Y73">
            <v>174287.7</v>
          </cell>
          <cell r="AB73">
            <v>10403.200000000001</v>
          </cell>
        </row>
        <row r="74">
          <cell r="Q74">
            <v>44800.3</v>
          </cell>
          <cell r="U74">
            <v>63</v>
          </cell>
          <cell r="Y74">
            <v>42729.1</v>
          </cell>
          <cell r="AB74">
            <v>33.9</v>
          </cell>
        </row>
        <row r="106">
          <cell r="Q106">
            <v>22144.1</v>
          </cell>
          <cell r="U106">
            <v>27.6</v>
          </cell>
          <cell r="Y106">
            <v>22144.1</v>
          </cell>
          <cell r="AB106">
            <v>27.6</v>
          </cell>
        </row>
        <row r="108">
          <cell r="Y108">
            <v>253235.95</v>
          </cell>
          <cell r="AB108">
            <v>10802.86</v>
          </cell>
        </row>
        <row r="109">
          <cell r="Y109">
            <v>43647.59</v>
          </cell>
          <cell r="AB109">
            <v>734.94</v>
          </cell>
        </row>
        <row r="110">
          <cell r="Y110">
            <v>262153.86</v>
          </cell>
          <cell r="AB110">
            <v>6207.67</v>
          </cell>
        </row>
        <row r="111">
          <cell r="Y111">
            <v>150837.29999999999</v>
          </cell>
          <cell r="AB111">
            <v>2356.89</v>
          </cell>
        </row>
        <row r="112">
          <cell r="Q112">
            <v>3034.95</v>
          </cell>
          <cell r="U112">
            <v>147.63</v>
          </cell>
          <cell r="Y112">
            <v>2171.4</v>
          </cell>
          <cell r="AB112">
            <v>104.63</v>
          </cell>
        </row>
        <row r="125">
          <cell r="Q125">
            <v>4745.62</v>
          </cell>
          <cell r="U125">
            <v>1772.04</v>
          </cell>
          <cell r="Y125">
            <v>4620.62</v>
          </cell>
          <cell r="AB125">
            <v>1772.04</v>
          </cell>
        </row>
        <row r="126">
          <cell r="Q126">
            <v>59140.29</v>
          </cell>
          <cell r="U126">
            <v>5566.44</v>
          </cell>
          <cell r="Y126">
            <v>58485.59</v>
          </cell>
          <cell r="AB126">
            <v>5566.44</v>
          </cell>
        </row>
        <row r="127">
          <cell r="Q127">
            <v>161533.34</v>
          </cell>
          <cell r="U127">
            <v>407.44</v>
          </cell>
          <cell r="Y127">
            <v>161163.01</v>
          </cell>
          <cell r="AB127">
            <v>407.44</v>
          </cell>
        </row>
        <row r="128">
          <cell r="Q128">
            <v>1214.6600000000001</v>
          </cell>
          <cell r="U128" t="str">
            <v>0,00</v>
          </cell>
          <cell r="Y128">
            <v>1214.6600000000001</v>
          </cell>
          <cell r="AB128" t="str">
            <v>0,00</v>
          </cell>
        </row>
      </sheetData>
      <sheetData sheetId="1"/>
      <sheetData sheetId="2"/>
      <sheetData sheetId="3">
        <row r="8">
          <cell r="Q8">
            <v>47213.599999999999</v>
          </cell>
          <cell r="U8">
            <v>214.95</v>
          </cell>
          <cell r="Y8">
            <v>47213.599999999999</v>
          </cell>
          <cell r="AB8">
            <v>214.95</v>
          </cell>
        </row>
        <row r="45">
          <cell r="Q45">
            <v>483941.4</v>
          </cell>
          <cell r="U45">
            <v>17636.8</v>
          </cell>
          <cell r="Y45">
            <v>457008.71</v>
          </cell>
          <cell r="AB45">
            <v>9608.7000000000007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_2019"/>
      <sheetName val="отправка"/>
    </sheetNames>
    <sheetDataSet>
      <sheetData sheetId="0" refreshError="1">
        <row r="13">
          <cell r="E13">
            <v>3285.6</v>
          </cell>
        </row>
        <row r="16">
          <cell r="E16">
            <v>15855.3</v>
          </cell>
        </row>
        <row r="18">
          <cell r="E18">
            <v>2112.6999999999998</v>
          </cell>
        </row>
        <row r="19">
          <cell r="E19">
            <v>26377.100000000002</v>
          </cell>
        </row>
        <row r="22">
          <cell r="E22">
            <v>26167.200000000001</v>
          </cell>
        </row>
        <row r="23">
          <cell r="E23">
            <v>8117.3</v>
          </cell>
        </row>
        <row r="24">
          <cell r="E24">
            <v>35918.199999999997</v>
          </cell>
        </row>
        <row r="26">
          <cell r="E26">
            <v>43299.200000000004</v>
          </cell>
        </row>
        <row r="28">
          <cell r="E28">
            <v>29079.4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товик 4-2018_зубы_"/>
    </sheetNames>
    <sheetDataSet>
      <sheetData sheetId="0" refreshError="1">
        <row r="12">
          <cell r="P12">
            <v>1887.7999999999997</v>
          </cell>
        </row>
        <row r="24">
          <cell r="V24">
            <v>242677.90270000001</v>
          </cell>
          <cell r="AD24">
            <v>11410.397299999977</v>
          </cell>
          <cell r="AL24">
            <v>55534.9</v>
          </cell>
        </row>
        <row r="25">
          <cell r="V25">
            <v>43084.432310000004</v>
          </cell>
          <cell r="AD25">
            <v>734.96768999999767</v>
          </cell>
          <cell r="AL25">
            <v>1429.3</v>
          </cell>
        </row>
        <row r="26">
          <cell r="V26">
            <v>243517.38012000002</v>
          </cell>
          <cell r="AD26">
            <v>6626.1198799999738</v>
          </cell>
          <cell r="AL26">
            <v>61877.5</v>
          </cell>
        </row>
        <row r="27">
          <cell r="V27">
            <v>152125.41534000001</v>
          </cell>
          <cell r="AD27">
            <v>2445.5846599999991</v>
          </cell>
          <cell r="AL27">
            <v>1251.5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02"/>
      <sheetName val="0100"/>
      <sheetName val="0200"/>
      <sheetName val="0300"/>
      <sheetName val="0400"/>
      <sheetName val="0500"/>
      <sheetName val="0600"/>
      <sheetName val="0700"/>
      <sheetName val="0800"/>
      <sheetName val="0900"/>
      <sheetName val="1000"/>
      <sheetName val="1100"/>
      <sheetName val="12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O6">
            <v>1111.3900000000001</v>
          </cell>
        </row>
        <row r="185">
          <cell r="Q185">
            <v>5857.7</v>
          </cell>
          <cell r="U185" t="str">
            <v>0,00</v>
          </cell>
          <cell r="Y185">
            <v>5857.7</v>
          </cell>
          <cell r="AB185" t="str">
            <v>0,00</v>
          </cell>
        </row>
        <row r="195">
          <cell r="Q195">
            <v>28144.6</v>
          </cell>
          <cell r="U195">
            <v>1626.8</v>
          </cell>
          <cell r="Y195">
            <v>28025.7</v>
          </cell>
          <cell r="AB195">
            <v>1626.8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T69"/>
  <sheetViews>
    <sheetView tabSelected="1" topLeftCell="A35" zoomScaleSheetLayoutView="80" workbookViewId="0">
      <pane xSplit="1" ySplit="5" topLeftCell="B40" activePane="bottomRight" state="frozen"/>
      <selection activeCell="A35" sqref="A35"/>
      <selection pane="topRight" activeCell="B35" sqref="B35"/>
      <selection pane="bottomLeft" activeCell="A40" sqref="A40"/>
      <selection pane="bottomRight" activeCell="G62" sqref="G62"/>
    </sheetView>
  </sheetViews>
  <sheetFormatPr defaultColWidth="9.140625" defaultRowHeight="12.75" x14ac:dyDescent="0.2"/>
  <cols>
    <col min="1" max="1" width="59.7109375" style="12" customWidth="1"/>
    <col min="2" max="2" width="19.42578125" style="12" customWidth="1"/>
    <col min="3" max="3" width="14.140625" style="12" customWidth="1"/>
    <col min="4" max="4" width="13.140625" style="12" customWidth="1"/>
    <col min="5" max="5" width="16.140625" style="12" customWidth="1"/>
    <col min="6" max="6" width="14.140625" style="12" customWidth="1"/>
    <col min="7" max="7" width="13.7109375" style="12" customWidth="1"/>
    <col min="8" max="8" width="17.28515625" style="12" customWidth="1"/>
    <col min="9" max="9" width="17" style="12" customWidth="1"/>
    <col min="10" max="10" width="15.7109375" style="12" customWidth="1"/>
    <col min="11" max="11" width="13.28515625" style="12" customWidth="1"/>
    <col min="12" max="12" width="22.5703125" style="12" customWidth="1"/>
    <col min="13" max="13" width="9.5703125" style="12" bestFit="1" customWidth="1"/>
    <col min="14" max="14" width="9.140625" style="12"/>
    <col min="15" max="15" width="19.5703125" style="12" customWidth="1"/>
    <col min="16" max="16384" width="9.140625" style="12"/>
  </cols>
  <sheetData>
    <row r="1" spans="1:12" ht="22.15" customHeight="1" x14ac:dyDescent="0.25">
      <c r="A1" s="24"/>
      <c r="H1" s="58" t="s">
        <v>59</v>
      </c>
      <c r="I1" s="58"/>
      <c r="J1" s="58"/>
      <c r="K1" s="58"/>
      <c r="L1" s="58"/>
    </row>
    <row r="2" spans="1:12" ht="22.5" customHeight="1" x14ac:dyDescent="0.2">
      <c r="A2" s="62" t="s">
        <v>62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2" ht="13.9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37"/>
    </row>
    <row r="4" spans="1:12" ht="156.75" hidden="1" customHeight="1" x14ac:dyDescent="0.2">
      <c r="A4" s="64" t="s">
        <v>0</v>
      </c>
      <c r="B4" s="59" t="s">
        <v>1</v>
      </c>
      <c r="C4" s="66" t="s">
        <v>32</v>
      </c>
      <c r="D4" s="66"/>
      <c r="E4" s="59" t="s">
        <v>33</v>
      </c>
      <c r="F4" s="59" t="s">
        <v>34</v>
      </c>
      <c r="G4" s="59" t="s">
        <v>35</v>
      </c>
      <c r="H4" s="19" t="s">
        <v>36</v>
      </c>
      <c r="I4" s="71" t="s">
        <v>37</v>
      </c>
      <c r="J4" s="72"/>
      <c r="K4" s="33"/>
      <c r="L4" s="32" t="s">
        <v>2</v>
      </c>
    </row>
    <row r="5" spans="1:12" ht="69" hidden="1" customHeight="1" x14ac:dyDescent="0.2">
      <c r="A5" s="65"/>
      <c r="B5" s="61"/>
      <c r="C5" s="20" t="s">
        <v>3</v>
      </c>
      <c r="D5" s="20" t="s">
        <v>4</v>
      </c>
      <c r="E5" s="61"/>
      <c r="F5" s="61"/>
      <c r="G5" s="61"/>
      <c r="H5" s="20" t="s">
        <v>3</v>
      </c>
      <c r="I5" s="20" t="s">
        <v>5</v>
      </c>
      <c r="J5" s="20" t="s">
        <v>6</v>
      </c>
      <c r="K5" s="20"/>
      <c r="L5" s="20" t="s">
        <v>3</v>
      </c>
    </row>
    <row r="6" spans="1:12" hidden="1" x14ac:dyDescent="0.2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7</v>
      </c>
      <c r="G6" s="1">
        <v>8</v>
      </c>
      <c r="H6" s="1">
        <v>9</v>
      </c>
      <c r="I6" s="1">
        <v>11</v>
      </c>
      <c r="J6" s="1">
        <v>12</v>
      </c>
      <c r="K6" s="1"/>
      <c r="L6" s="1">
        <v>13</v>
      </c>
    </row>
    <row r="7" spans="1:12" ht="34.5" hidden="1" customHeight="1" x14ac:dyDescent="0.2">
      <c r="A7" s="19" t="s">
        <v>7</v>
      </c>
      <c r="B7" s="2" t="s">
        <v>8</v>
      </c>
      <c r="C7" s="2" t="s">
        <v>8</v>
      </c>
      <c r="D7" s="2" t="s">
        <v>8</v>
      </c>
      <c r="E7" s="2" t="s">
        <v>8</v>
      </c>
      <c r="F7" s="2" t="s">
        <v>8</v>
      </c>
      <c r="G7" s="2" t="s">
        <v>8</v>
      </c>
      <c r="H7" s="2" t="s">
        <v>8</v>
      </c>
      <c r="I7" s="2" t="s">
        <v>8</v>
      </c>
      <c r="J7" s="2" t="s">
        <v>8</v>
      </c>
      <c r="K7" s="2"/>
      <c r="L7" s="2" t="s">
        <v>8</v>
      </c>
    </row>
    <row r="8" spans="1:12" ht="32.25" hidden="1" customHeight="1" x14ac:dyDescent="0.2">
      <c r="A8" s="19" t="s">
        <v>9</v>
      </c>
      <c r="B8" s="2" t="s">
        <v>8</v>
      </c>
      <c r="C8" s="2" t="s">
        <v>8</v>
      </c>
      <c r="D8" s="2" t="s">
        <v>8</v>
      </c>
      <c r="E8" s="2" t="s">
        <v>8</v>
      </c>
      <c r="F8" s="2" t="s">
        <v>8</v>
      </c>
      <c r="G8" s="13"/>
      <c r="H8" s="2" t="s">
        <v>8</v>
      </c>
      <c r="I8" s="2" t="s">
        <v>8</v>
      </c>
      <c r="J8" s="2" t="s">
        <v>8</v>
      </c>
      <c r="K8" s="2"/>
      <c r="L8" s="2" t="s">
        <v>8</v>
      </c>
    </row>
    <row r="9" spans="1:12" ht="32.25" hidden="1" customHeight="1" x14ac:dyDescent="0.2">
      <c r="A9" s="19" t="s">
        <v>39</v>
      </c>
      <c r="B9" s="2" t="s">
        <v>8</v>
      </c>
      <c r="C9" s="2" t="s">
        <v>8</v>
      </c>
      <c r="D9" s="2" t="s">
        <v>8</v>
      </c>
      <c r="E9" s="2" t="s">
        <v>8</v>
      </c>
      <c r="F9" s="2" t="s">
        <v>8</v>
      </c>
      <c r="G9" s="2" t="s">
        <v>8</v>
      </c>
      <c r="H9" s="2" t="s">
        <v>8</v>
      </c>
      <c r="I9" s="2" t="s">
        <v>8</v>
      </c>
      <c r="J9" s="2" t="s">
        <v>8</v>
      </c>
      <c r="K9" s="2"/>
      <c r="L9" s="2" t="s">
        <v>8</v>
      </c>
    </row>
    <row r="10" spans="1:12" ht="32.25" hidden="1" customHeight="1" x14ac:dyDescent="0.2">
      <c r="A10" s="19" t="s">
        <v>38</v>
      </c>
      <c r="B10" s="2" t="s">
        <v>8</v>
      </c>
      <c r="C10" s="2" t="s">
        <v>8</v>
      </c>
      <c r="D10" s="2" t="s">
        <v>8</v>
      </c>
      <c r="E10" s="2" t="s">
        <v>8</v>
      </c>
      <c r="F10" s="2" t="s">
        <v>8</v>
      </c>
      <c r="G10" s="13">
        <v>35900</v>
      </c>
      <c r="H10" s="2" t="s">
        <v>8</v>
      </c>
      <c r="I10" s="2" t="s">
        <v>8</v>
      </c>
      <c r="J10" s="2" t="s">
        <v>8</v>
      </c>
      <c r="K10" s="2"/>
      <c r="L10" s="2" t="s">
        <v>8</v>
      </c>
    </row>
    <row r="11" spans="1:12" ht="30" hidden="1" customHeight="1" x14ac:dyDescent="0.2">
      <c r="A11" s="19" t="s">
        <v>10</v>
      </c>
      <c r="B11" s="3">
        <f>B12+B15+B16+B19+B20</f>
        <v>11004.5</v>
      </c>
      <c r="C11" s="3">
        <f>C12+C15+C16+C19+C20</f>
        <v>4367186.5000000009</v>
      </c>
      <c r="D11" s="3">
        <f>D12+D15+D16+D19+D20</f>
        <v>4308322.7</v>
      </c>
      <c r="E11" s="2" t="s">
        <v>11</v>
      </c>
      <c r="F11" s="2" t="s">
        <v>11</v>
      </c>
      <c r="G11" s="2" t="s">
        <v>11</v>
      </c>
      <c r="H11" s="3">
        <f>H12+H15+H16+H19+H20</f>
        <v>348654.8</v>
      </c>
      <c r="I11" s="3">
        <v>281747.7</v>
      </c>
      <c r="J11" s="3">
        <v>281747.7</v>
      </c>
      <c r="K11" s="3"/>
      <c r="L11" s="3">
        <f>L12+L15+L16+L19+L20</f>
        <v>0</v>
      </c>
    </row>
    <row r="12" spans="1:12" ht="33.75" hidden="1" customHeight="1" x14ac:dyDescent="0.2">
      <c r="A12" s="4" t="s">
        <v>12</v>
      </c>
      <c r="B12" s="3">
        <f>B13+B14</f>
        <v>5713.2</v>
      </c>
      <c r="C12" s="3">
        <f t="shared" ref="C12:D12" si="0">C13+C14</f>
        <v>2256584.7000000002</v>
      </c>
      <c r="D12" s="3">
        <f t="shared" si="0"/>
        <v>2245926.6</v>
      </c>
      <c r="E12" s="3">
        <v>95</v>
      </c>
      <c r="F12" s="3">
        <v>100</v>
      </c>
      <c r="G12" s="3">
        <v>35500</v>
      </c>
      <c r="H12" s="3">
        <f>H13+H14</f>
        <v>179324.3</v>
      </c>
      <c r="I12" s="3">
        <v>146678.29999999999</v>
      </c>
      <c r="J12" s="5">
        <v>146678.29999999999</v>
      </c>
      <c r="K12" s="5"/>
      <c r="L12" s="3"/>
    </row>
    <row r="13" spans="1:12" ht="15" hidden="1" x14ac:dyDescent="0.2">
      <c r="A13" s="4" t="s">
        <v>29</v>
      </c>
      <c r="B13" s="3">
        <f>'[1]ГУ расчет'!$E$14</f>
        <v>330.2</v>
      </c>
      <c r="C13" s="5">
        <f>[2]Итого!$Q$68+[2]Итого!$U$68</f>
        <v>129051.7</v>
      </c>
      <c r="D13" s="5">
        <f>[2]Итого!$Y$68+[2]Итого!$AB$68</f>
        <v>128668.6</v>
      </c>
      <c r="E13" s="3">
        <v>95</v>
      </c>
      <c r="F13" s="3">
        <f>G13*100/$G$10</f>
        <v>95.604456824512539</v>
      </c>
      <c r="G13" s="3">
        <v>34322</v>
      </c>
      <c r="H13" s="3">
        <f>[3]Приложение_2019!$E$16</f>
        <v>15855.3</v>
      </c>
      <c r="I13" s="3">
        <v>15855.3</v>
      </c>
      <c r="J13" s="3">
        <v>15855.3</v>
      </c>
      <c r="K13" s="3"/>
      <c r="L13" s="3"/>
    </row>
    <row r="14" spans="1:12" ht="15" hidden="1" x14ac:dyDescent="0.2">
      <c r="A14" s="4" t="s">
        <v>30</v>
      </c>
      <c r="B14" s="3">
        <v>5383</v>
      </c>
      <c r="C14" s="5">
        <v>2127533</v>
      </c>
      <c r="D14" s="5">
        <v>2117258</v>
      </c>
      <c r="E14" s="3">
        <v>95</v>
      </c>
      <c r="F14" s="3" t="e">
        <f>G14/#REF!*100</f>
        <v>#REF!</v>
      </c>
      <c r="G14" s="3">
        <v>34709</v>
      </c>
      <c r="H14" s="3">
        <f>130823+32646</f>
        <v>163469</v>
      </c>
      <c r="I14" s="3">
        <v>130823</v>
      </c>
      <c r="J14" s="3">
        <v>130823</v>
      </c>
      <c r="K14" s="3"/>
      <c r="L14" s="3"/>
    </row>
    <row r="15" spans="1:12" ht="30" hidden="1" customHeight="1" x14ac:dyDescent="0.2">
      <c r="A15" s="6" t="s">
        <v>13</v>
      </c>
      <c r="B15" s="3">
        <v>3502</v>
      </c>
      <c r="C15" s="5">
        <v>1356202</v>
      </c>
      <c r="D15" s="5">
        <v>1348374</v>
      </c>
      <c r="E15" s="3">
        <v>94.6</v>
      </c>
      <c r="F15" s="3" t="e">
        <f>G15/#REF!*100</f>
        <v>#REF!</v>
      </c>
      <c r="G15" s="3">
        <v>33968</v>
      </c>
      <c r="H15" s="3">
        <f>83007+20230.7</f>
        <v>103237.7</v>
      </c>
      <c r="I15" s="3">
        <v>83007</v>
      </c>
      <c r="J15" s="3">
        <v>83007</v>
      </c>
      <c r="K15" s="3"/>
      <c r="L15" s="3"/>
    </row>
    <row r="16" spans="1:12" ht="15" hidden="1" x14ac:dyDescent="0.2">
      <c r="A16" s="6" t="s">
        <v>14</v>
      </c>
      <c r="B16" s="3">
        <f>B17+B18</f>
        <v>1127</v>
      </c>
      <c r="C16" s="3">
        <f>C17+C18</f>
        <v>475075.6</v>
      </c>
      <c r="D16" s="3">
        <f>D17+D18</f>
        <v>464396.5</v>
      </c>
      <c r="E16" s="3">
        <v>100</v>
      </c>
      <c r="F16" s="3"/>
      <c r="G16" s="3"/>
      <c r="H16" s="3">
        <f>H17+H18</f>
        <v>33605.1</v>
      </c>
      <c r="I16" s="3">
        <v>23572.6</v>
      </c>
      <c r="J16" s="5">
        <v>23572.6</v>
      </c>
      <c r="K16" s="5"/>
      <c r="L16" s="3"/>
    </row>
    <row r="17" spans="1:15" ht="15" hidden="1" x14ac:dyDescent="0.2">
      <c r="A17" s="4" t="s">
        <v>29</v>
      </c>
      <c r="B17" s="3">
        <f>'[1]ГУ расчет'!$E$120</f>
        <v>47</v>
      </c>
      <c r="C17" s="5">
        <f>[2]Итого!$Q$70+[2]Итого!$U$70</f>
        <v>18146.599999999999</v>
      </c>
      <c r="D17" s="5">
        <f>[2]Итого!$Y$70+[2]Итого!$AB$70</f>
        <v>18007.5</v>
      </c>
      <c r="E17" s="3">
        <v>100</v>
      </c>
      <c r="F17" s="3">
        <f>G17*100/$G$10</f>
        <v>101.44011142061281</v>
      </c>
      <c r="G17" s="3">
        <v>36417</v>
      </c>
      <c r="H17" s="3">
        <f>[3]Приложение_2019!$E$13+275.5</f>
        <v>3561.1</v>
      </c>
      <c r="I17" s="3">
        <v>3285.6</v>
      </c>
      <c r="J17" s="3">
        <v>3285.6</v>
      </c>
      <c r="K17" s="3"/>
      <c r="L17" s="3"/>
    </row>
    <row r="18" spans="1:15" ht="15" hidden="1" x14ac:dyDescent="0.2">
      <c r="A18" s="4" t="s">
        <v>30</v>
      </c>
      <c r="B18" s="3">
        <v>1080</v>
      </c>
      <c r="C18" s="5">
        <v>456929</v>
      </c>
      <c r="D18" s="5">
        <v>446389</v>
      </c>
      <c r="E18" s="3">
        <v>102.9</v>
      </c>
      <c r="F18" s="3" t="e">
        <f>G18/#REF!*100</f>
        <v>#REF!</v>
      </c>
      <c r="G18" s="3">
        <v>36514</v>
      </c>
      <c r="H18" s="3">
        <f>20287+9757</f>
        <v>30044</v>
      </c>
      <c r="I18" s="3">
        <v>20287</v>
      </c>
      <c r="J18" s="3">
        <v>20287</v>
      </c>
      <c r="K18" s="3"/>
      <c r="L18" s="3"/>
    </row>
    <row r="19" spans="1:15" ht="32.25" hidden="1" customHeight="1" x14ac:dyDescent="0.2">
      <c r="A19" s="6" t="s">
        <v>15</v>
      </c>
      <c r="B19" s="3">
        <f>'[1]ГУ расчет'!$E$24</f>
        <v>609.5</v>
      </c>
      <c r="C19" s="3">
        <f>[2]Итого!$Q$73+[2]Итого!$Q$74+[2]Итого!$U$73+[2]Итого!$U$74</f>
        <v>257152.50000000003</v>
      </c>
      <c r="D19" s="3">
        <f>[2]Итого!$Y$73+[2]Итого!$Y$74+[2]Итого!$AB$73+[2]Итого!$AB$74</f>
        <v>227453.90000000002</v>
      </c>
      <c r="E19" s="3">
        <v>100</v>
      </c>
      <c r="F19" s="3">
        <f>G19*100/$G$10</f>
        <v>100</v>
      </c>
      <c r="G19" s="3">
        <v>35900</v>
      </c>
      <c r="H19" s="3">
        <f>[3]Приложение_2019!$E$19+3710.4</f>
        <v>30087.500000000004</v>
      </c>
      <c r="I19" s="3">
        <v>26377.100000000002</v>
      </c>
      <c r="J19" s="3">
        <v>26377.100000000002</v>
      </c>
      <c r="K19" s="3"/>
      <c r="L19" s="3"/>
    </row>
    <row r="20" spans="1:15" ht="17.25" hidden="1" customHeight="1" x14ac:dyDescent="0.2">
      <c r="A20" s="7" t="s">
        <v>16</v>
      </c>
      <c r="B20" s="3">
        <f>'[1]ГУ расчет'!$E$130</f>
        <v>52.8</v>
      </c>
      <c r="C20" s="3">
        <f>[2]Итого!$Q$106+[2]Итого!$U$106</f>
        <v>22171.699999999997</v>
      </c>
      <c r="D20" s="3">
        <f>[2]Итого!$Y$106+[2]Итого!$AB$106</f>
        <v>22171.699999999997</v>
      </c>
      <c r="E20" s="3">
        <v>100</v>
      </c>
      <c r="F20" s="3">
        <f>G20*100/$G$10</f>
        <v>100</v>
      </c>
      <c r="G20" s="3">
        <v>35900</v>
      </c>
      <c r="H20" s="3">
        <f>[3]Приложение_2019!$E$18+287.5</f>
        <v>2400.1999999999998</v>
      </c>
      <c r="I20" s="3">
        <v>2112.6999999999998</v>
      </c>
      <c r="J20" s="3">
        <v>2112.6999999999998</v>
      </c>
      <c r="K20" s="3"/>
      <c r="L20" s="3"/>
    </row>
    <row r="21" spans="1:15" ht="32.25" hidden="1" customHeight="1" x14ac:dyDescent="0.2">
      <c r="A21" s="19" t="s">
        <v>17</v>
      </c>
      <c r="B21" s="3">
        <f>B22+B23+B24</f>
        <v>1770.3000000000002</v>
      </c>
      <c r="C21" s="3">
        <f>C22+C23+C24</f>
        <v>1055880.57</v>
      </c>
      <c r="D21" s="3">
        <f>D22+D23+D24</f>
        <v>961992.20000000007</v>
      </c>
      <c r="E21" s="2" t="s">
        <v>11</v>
      </c>
      <c r="F21" s="2" t="s">
        <v>11</v>
      </c>
      <c r="G21" s="2" t="s">
        <v>11</v>
      </c>
      <c r="H21" s="3">
        <f>H22+H23+H24</f>
        <v>83514.399999999994</v>
      </c>
      <c r="I21" s="3">
        <v>70202.7</v>
      </c>
      <c r="J21" s="3">
        <v>70202.7</v>
      </c>
      <c r="K21" s="3"/>
      <c r="L21" s="3">
        <f>L22+L23+L24</f>
        <v>0</v>
      </c>
    </row>
    <row r="22" spans="1:15" ht="31.5" hidden="1" customHeight="1" x14ac:dyDescent="0.2">
      <c r="A22" s="4" t="s">
        <v>18</v>
      </c>
      <c r="B22" s="3">
        <f>'[1]ГУ расчет'!$E$50</f>
        <v>344.90000000000003</v>
      </c>
      <c r="C22" s="3">
        <f>'[4]чистовик 4-2018_зубы_'!$V$24+'[4]чистовик 4-2018_зубы_'!$V$25+'[4]чистовик 4-2018_зубы_'!$AD$24+'[4]чистовик 4-2018_зубы_'!$AD$25+[2]Итого!$Q$125+[2]Итого!$U$125+'[4]чистовик 4-2018_зубы_'!$AL$24+'[4]чистовик 4-2018_зубы_'!$AL$25</f>
        <v>361389.56</v>
      </c>
      <c r="D22" s="3">
        <f>[2]Итого!$Y$108+[2]Итого!$Y$109+[2]Итого!$AB$108+[2]Итого!$AB$109+[2]Итого!$Y$125+[2]Итого!$AB$125</f>
        <v>314814</v>
      </c>
      <c r="E22" s="3">
        <v>200</v>
      </c>
      <c r="F22" s="3">
        <f>G22*100/$G$10</f>
        <v>200</v>
      </c>
      <c r="G22" s="3">
        <v>71800</v>
      </c>
      <c r="H22" s="3">
        <f>[3]Приложение_2019!$E$22+4349.7</f>
        <v>30516.9</v>
      </c>
      <c r="I22" s="3">
        <v>26167.200000000001</v>
      </c>
      <c r="J22" s="3">
        <v>26167.200000000001</v>
      </c>
      <c r="K22" s="3"/>
      <c r="L22" s="3"/>
    </row>
    <row r="23" spans="1:15" ht="17.25" hidden="1" customHeight="1" x14ac:dyDescent="0.2">
      <c r="A23" s="6" t="s">
        <v>19</v>
      </c>
      <c r="B23" s="3">
        <f>'[1]ГУ расчет'!$E$65</f>
        <v>683.40000000000009</v>
      </c>
      <c r="C23" s="3">
        <f>'[4]чистовик 4-2018_зубы_'!$V$26+'[4]чистовик 4-2018_зубы_'!$AD$26+[2]Итого!$Q$126+[2]Итого!$U$126+'[4]чистовик 4-2018_зубы_'!$AL$26</f>
        <v>376727.73</v>
      </c>
      <c r="D23" s="3">
        <f>[2]Итого!$Y$110+[2]Итого!$AB$110+[2]Итого!$Y$126+[2]Итого!$AB$126</f>
        <v>332413.56</v>
      </c>
      <c r="E23" s="3">
        <v>100</v>
      </c>
      <c r="F23" s="3">
        <f>G23*100/$G$10</f>
        <v>100</v>
      </c>
      <c r="G23" s="3">
        <v>35900</v>
      </c>
      <c r="H23" s="3">
        <f>[3]Приложение_2019!$E$23+4406</f>
        <v>12523.3</v>
      </c>
      <c r="I23" s="3">
        <v>8117.3</v>
      </c>
      <c r="J23" s="3">
        <v>8117.3</v>
      </c>
      <c r="K23" s="3"/>
      <c r="L23" s="3"/>
    </row>
    <row r="24" spans="1:15" ht="25.5" hidden="1" x14ac:dyDescent="0.2">
      <c r="A24" s="7" t="s">
        <v>20</v>
      </c>
      <c r="B24" s="3">
        <f>'[1]ГУ расчет'!$E$80</f>
        <v>742</v>
      </c>
      <c r="C24" s="3">
        <f>'[4]чистовик 4-2018_зубы_'!$V$27+'[4]чистовик 4-2018_зубы_'!$AD$27+[2]Итого!$Q$127+[2]Итого!$U$127+'[4]чистовик 4-2018_зубы_'!$AL$27</f>
        <v>317763.27999999997</v>
      </c>
      <c r="D24" s="3">
        <f>[2]Итого!$Y$111+[2]Итого!$AB$111+[2]Итого!$Y$127+[2]Итого!$AB$127</f>
        <v>314764.64</v>
      </c>
      <c r="E24" s="3">
        <v>100</v>
      </c>
      <c r="F24" s="3">
        <f>G24*100/$G$10</f>
        <v>100</v>
      </c>
      <c r="G24" s="3">
        <v>35900</v>
      </c>
      <c r="H24" s="3">
        <f>[3]Приложение_2019!$E$24+4556</f>
        <v>40474.199999999997</v>
      </c>
      <c r="I24" s="3">
        <v>35918.199999999997</v>
      </c>
      <c r="J24" s="3">
        <v>35918.199999999997</v>
      </c>
      <c r="K24" s="3"/>
      <c r="L24" s="3"/>
    </row>
    <row r="25" spans="1:15" ht="16.5" hidden="1" customHeight="1" x14ac:dyDescent="0.2">
      <c r="A25" s="19" t="s">
        <v>21</v>
      </c>
      <c r="B25" s="3">
        <f>B26</f>
        <v>2416.4</v>
      </c>
      <c r="C25" s="3">
        <f>C26</f>
        <v>950328.65000000014</v>
      </c>
      <c r="D25" s="3">
        <f>D26</f>
        <v>902277.76</v>
      </c>
      <c r="E25" s="2" t="s">
        <v>11</v>
      </c>
      <c r="F25" s="2" t="s">
        <v>11</v>
      </c>
      <c r="G25" s="2" t="s">
        <v>11</v>
      </c>
      <c r="H25" s="3">
        <f>H26</f>
        <v>86139.200000000012</v>
      </c>
      <c r="I25" s="3">
        <v>69449.200000000012</v>
      </c>
      <c r="J25" s="3">
        <v>69449.200000000012</v>
      </c>
      <c r="K25" s="3"/>
      <c r="L25" s="3">
        <f>L26</f>
        <v>0</v>
      </c>
    </row>
    <row r="26" spans="1:15" ht="18.75" hidden="1" customHeight="1" x14ac:dyDescent="0.2">
      <c r="A26" s="8" t="s">
        <v>21</v>
      </c>
      <c r="B26" s="3">
        <f>B27+B28</f>
        <v>2416.4</v>
      </c>
      <c r="C26" s="3">
        <f t="shared" ref="C26:D26" si="1">C27+C28</f>
        <v>950328.65000000014</v>
      </c>
      <c r="D26" s="3">
        <f t="shared" si="1"/>
        <v>902277.76</v>
      </c>
      <c r="E26" s="3" t="e">
        <f>#REF!*100/#REF!</f>
        <v>#REF!</v>
      </c>
      <c r="F26" s="3">
        <f>G26*100/$G$10</f>
        <v>100</v>
      </c>
      <c r="G26" s="3">
        <v>35900</v>
      </c>
      <c r="H26" s="3">
        <f>H27+H28</f>
        <v>86139.200000000012</v>
      </c>
      <c r="I26" s="3">
        <v>69449.200000000012</v>
      </c>
      <c r="J26" s="5">
        <v>69449.200000000012</v>
      </c>
      <c r="K26" s="5"/>
      <c r="L26" s="3"/>
    </row>
    <row r="27" spans="1:15" ht="15" hidden="1" x14ac:dyDescent="0.2">
      <c r="A27" s="6" t="s">
        <v>29</v>
      </c>
      <c r="B27" s="3">
        <f>'[1]ГУ расчет'!$E$45</f>
        <v>1095.4000000000001</v>
      </c>
      <c r="C27" s="5">
        <f>'[2]802'!$Q$8+'[2]802'!$U$8+'[2]802'!$Q$45+'[2]802'!$U$45-'[5]0800'!$Q$185-'[5]0800'!$Q$195-'[5]0800'!$U$185-'[5]0800'!$U$195</f>
        <v>513377.6500000002</v>
      </c>
      <c r="D27" s="5">
        <f>'[2]802'!$Y$8+'[2]802'!$AB$8+'[2]802'!$Y$45+'[2]802'!$AB$45-'[5]0800'!$Y$185-'[5]0800'!$AB$185-'[5]0800'!$Y$195-'[5]0800'!$AB$195</f>
        <v>478535.76</v>
      </c>
      <c r="E27" s="3" t="e">
        <f>#REF!*100/#REF!</f>
        <v>#REF!</v>
      </c>
      <c r="F27" s="3">
        <f>G27*100/$G$10</f>
        <v>113.74094707520891</v>
      </c>
      <c r="G27" s="3">
        <f>ROUND(39411*$G$10/34650,0)</f>
        <v>40833</v>
      </c>
      <c r="H27" s="3">
        <f>[3]Приложение_2019!$E$26+7684</f>
        <v>50983.200000000004</v>
      </c>
      <c r="I27" s="3">
        <v>43299.200000000004</v>
      </c>
      <c r="J27" s="3">
        <v>43299.200000000004</v>
      </c>
      <c r="K27" s="3"/>
      <c r="L27" s="3"/>
    </row>
    <row r="28" spans="1:15" ht="15" hidden="1" x14ac:dyDescent="0.2">
      <c r="A28" s="4" t="s">
        <v>30</v>
      </c>
      <c r="B28" s="3">
        <v>1321</v>
      </c>
      <c r="C28" s="5">
        <v>436951</v>
      </c>
      <c r="D28" s="5">
        <v>423742</v>
      </c>
      <c r="E28" s="3">
        <v>79.099999999999994</v>
      </c>
      <c r="F28" s="3" t="e">
        <f>G28/#REF!*100</f>
        <v>#REF!</v>
      </c>
      <c r="G28" s="3">
        <v>28407</v>
      </c>
      <c r="H28" s="3">
        <f>26150+9006</f>
        <v>35156</v>
      </c>
      <c r="I28" s="3">
        <v>26150</v>
      </c>
      <c r="J28" s="3">
        <v>26150</v>
      </c>
      <c r="K28" s="3"/>
      <c r="L28" s="3"/>
    </row>
    <row r="29" spans="1:15" ht="16.5" hidden="1" customHeight="1" x14ac:dyDescent="0.2">
      <c r="A29" s="19" t="s">
        <v>22</v>
      </c>
      <c r="B29" s="3">
        <f>B30</f>
        <v>677.5</v>
      </c>
      <c r="C29" s="3">
        <f>C30</f>
        <v>268179.24</v>
      </c>
      <c r="D29" s="3">
        <f>D30</f>
        <v>261239.69</v>
      </c>
      <c r="E29" s="2" t="s">
        <v>11</v>
      </c>
      <c r="F29" s="2" t="s">
        <v>11</v>
      </c>
      <c r="G29" s="2" t="s">
        <v>11</v>
      </c>
      <c r="H29" s="3">
        <f>H30</f>
        <v>32491.600000000002</v>
      </c>
      <c r="I29" s="3">
        <v>29079.4</v>
      </c>
      <c r="J29" s="3">
        <v>29079.4</v>
      </c>
      <c r="K29" s="3"/>
      <c r="L29" s="3">
        <f>L30</f>
        <v>0</v>
      </c>
      <c r="O29" s="73"/>
    </row>
    <row r="30" spans="1:15" ht="20.25" hidden="1" customHeight="1" x14ac:dyDescent="0.2">
      <c r="A30" s="4" t="s">
        <v>22</v>
      </c>
      <c r="B30" s="3">
        <f>B31+B32</f>
        <v>677.5</v>
      </c>
      <c r="C30" s="3">
        <f>C31+C32</f>
        <v>268179.24</v>
      </c>
      <c r="D30" s="3">
        <f>D31+D32</f>
        <v>261239.69</v>
      </c>
      <c r="E30" s="3">
        <v>100</v>
      </c>
      <c r="F30" s="3">
        <f>G30*100/$G$10</f>
        <v>100</v>
      </c>
      <c r="G30" s="3">
        <v>35900</v>
      </c>
      <c r="H30" s="3">
        <f>H31+H32</f>
        <v>32491.600000000002</v>
      </c>
      <c r="I30" s="3">
        <v>29079.4</v>
      </c>
      <c r="J30" s="5">
        <v>29079.4</v>
      </c>
      <c r="K30" s="5"/>
      <c r="L30" s="3"/>
      <c r="O30" s="73"/>
    </row>
    <row r="31" spans="1:15" ht="15" hidden="1" x14ac:dyDescent="0.2">
      <c r="A31" s="4" t="s">
        <v>29</v>
      </c>
      <c r="B31" s="3">
        <f>'[1]ГУ расчет'!$E$95</f>
        <v>677.5</v>
      </c>
      <c r="C31" s="5">
        <f>[2]Итого!$Q$112+[2]Итого!$U$112+[2]Итого!$Q$128+[2]Итого!$U$128</f>
        <v>4397.24</v>
      </c>
      <c r="D31" s="5">
        <f>[2]Итого!$Y$112+[2]Итого!$AB$112+[2]Итого!$Y$128+[2]Итого!$AB$128</f>
        <v>3490.6900000000005</v>
      </c>
      <c r="E31" s="3">
        <v>100</v>
      </c>
      <c r="F31" s="3">
        <f>G31*100/$G$10</f>
        <v>100</v>
      </c>
      <c r="G31" s="3">
        <v>35900</v>
      </c>
      <c r="H31" s="3">
        <f>[3]Приложение_2019!$E$28+3412.2</f>
        <v>32491.600000000002</v>
      </c>
      <c r="I31" s="3">
        <v>29079.4</v>
      </c>
      <c r="J31" s="3">
        <v>29079.4</v>
      </c>
      <c r="K31" s="3"/>
      <c r="L31" s="3"/>
    </row>
    <row r="32" spans="1:15" ht="15" hidden="1" x14ac:dyDescent="0.2">
      <c r="A32" s="4" t="s">
        <v>30</v>
      </c>
      <c r="B32" s="3"/>
      <c r="C32" s="5">
        <v>263782</v>
      </c>
      <c r="D32" s="5">
        <v>257749</v>
      </c>
      <c r="E32" s="3">
        <v>100</v>
      </c>
      <c r="F32" s="3"/>
      <c r="G32" s="3"/>
      <c r="H32" s="3"/>
      <c r="I32" s="3"/>
      <c r="J32" s="5"/>
      <c r="K32" s="5"/>
      <c r="L32" s="3"/>
    </row>
    <row r="33" spans="1:16" ht="30" hidden="1" customHeight="1" x14ac:dyDescent="0.2">
      <c r="A33" s="19" t="s">
        <v>23</v>
      </c>
      <c r="B33" s="3">
        <f>B11+B21+B25+B29</f>
        <v>15868.699999999999</v>
      </c>
      <c r="C33" s="3">
        <f>C11+C21+C25+C29</f>
        <v>6641574.9600000018</v>
      </c>
      <c r="D33" s="3">
        <f>D11+D21+D25+D29</f>
        <v>6433832.3500000006</v>
      </c>
      <c r="E33" s="2" t="s">
        <v>11</v>
      </c>
      <c r="F33" s="2" t="s">
        <v>11</v>
      </c>
      <c r="G33" s="2" t="s">
        <v>11</v>
      </c>
      <c r="H33" s="3">
        <f t="shared" ref="H33:L33" si="2">H11+H21+H25+H29</f>
        <v>550800</v>
      </c>
      <c r="I33" s="3">
        <v>450479.00000000006</v>
      </c>
      <c r="J33" s="3">
        <v>450479.00000000006</v>
      </c>
      <c r="K33" s="3"/>
      <c r="L33" s="3">
        <f t="shared" si="2"/>
        <v>0</v>
      </c>
      <c r="M33" s="14"/>
    </row>
    <row r="34" spans="1:16" s="17" customFormat="1" ht="14.25" hidden="1" x14ac:dyDescent="0.2">
      <c r="A34" s="15" t="s">
        <v>31</v>
      </c>
      <c r="B34" s="16">
        <f>B13+B17+B19+B20+B22+B23+B24+B27+B31</f>
        <v>4582.7000000000007</v>
      </c>
      <c r="C34" s="16">
        <f>C13+C17+C19+C20+C22+C23+C24+C27+C31</f>
        <v>2000177.9600000002</v>
      </c>
      <c r="D34" s="16">
        <f>D13+D17+D19+D20+D22+D23+D24+D27+D31</f>
        <v>1840320.3499999999</v>
      </c>
      <c r="E34" s="16"/>
      <c r="F34" s="16"/>
      <c r="G34" s="16"/>
      <c r="H34" s="16">
        <f>H13+H17+H19+H20+H22+H23+H24+H27+H31</f>
        <v>218893.30000000002</v>
      </c>
      <c r="I34" s="16">
        <f>I13+I17+I19+I20+I22+I23+I24+I27+I31</f>
        <v>190212</v>
      </c>
      <c r="J34" s="16">
        <f>J13+J17+J19+J20+J22+J23+J24+J27+J31</f>
        <v>190212</v>
      </c>
      <c r="K34" s="16"/>
      <c r="L34" s="16"/>
    </row>
    <row r="35" spans="1:16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6" ht="39" customHeight="1" x14ac:dyDescent="0.2">
      <c r="A36" s="59" t="s">
        <v>0</v>
      </c>
      <c r="B36" s="59" t="s">
        <v>41</v>
      </c>
      <c r="C36" s="59" t="s">
        <v>47</v>
      </c>
      <c r="D36" s="59" t="s">
        <v>48</v>
      </c>
      <c r="E36" s="59" t="s">
        <v>42</v>
      </c>
      <c r="F36" s="59" t="s">
        <v>43</v>
      </c>
      <c r="G36" s="59" t="s">
        <v>44</v>
      </c>
      <c r="H36" s="59" t="s">
        <v>45</v>
      </c>
      <c r="I36" s="59" t="s">
        <v>46</v>
      </c>
      <c r="J36" s="66" t="s">
        <v>54</v>
      </c>
      <c r="K36" s="66"/>
      <c r="L36" s="66"/>
      <c r="M36" s="70"/>
      <c r="N36" s="70"/>
      <c r="O36" s="70"/>
      <c r="P36" s="70"/>
    </row>
    <row r="37" spans="1:16" ht="15.4" customHeight="1" x14ac:dyDescent="0.2">
      <c r="A37" s="60"/>
      <c r="B37" s="60"/>
      <c r="C37" s="60"/>
      <c r="D37" s="60"/>
      <c r="E37" s="60"/>
      <c r="F37" s="60"/>
      <c r="G37" s="60"/>
      <c r="H37" s="60"/>
      <c r="I37" s="60"/>
      <c r="J37" s="59" t="s">
        <v>60</v>
      </c>
      <c r="K37" s="59" t="s">
        <v>61</v>
      </c>
      <c r="L37" s="59" t="s">
        <v>55</v>
      </c>
      <c r="M37" s="26"/>
      <c r="N37" s="22"/>
      <c r="O37" s="26"/>
      <c r="P37" s="22"/>
    </row>
    <row r="38" spans="1:16" ht="19.5" customHeight="1" x14ac:dyDescent="0.2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26"/>
      <c r="N38" s="22"/>
      <c r="O38" s="26"/>
      <c r="P38" s="22"/>
    </row>
    <row r="39" spans="1:16" ht="12.75" customHeight="1" x14ac:dyDescent="0.2">
      <c r="A39" s="20">
        <v>1</v>
      </c>
      <c r="B39" s="20">
        <v>2</v>
      </c>
      <c r="C39" s="20">
        <v>3</v>
      </c>
      <c r="D39" s="20">
        <v>4</v>
      </c>
      <c r="E39" s="20">
        <v>5</v>
      </c>
      <c r="F39" s="20">
        <v>6</v>
      </c>
      <c r="G39" s="20">
        <v>7</v>
      </c>
      <c r="H39" s="20">
        <v>8</v>
      </c>
      <c r="I39" s="20">
        <v>9</v>
      </c>
      <c r="J39" s="20">
        <v>10</v>
      </c>
      <c r="K39" s="20">
        <v>11</v>
      </c>
      <c r="L39" s="20">
        <v>12</v>
      </c>
      <c r="M39" s="26"/>
      <c r="N39" s="22"/>
      <c r="O39" s="26"/>
      <c r="P39" s="22"/>
    </row>
    <row r="40" spans="1:16" ht="29.45" customHeight="1" x14ac:dyDescent="0.2">
      <c r="A40" s="35" t="s">
        <v>49</v>
      </c>
      <c r="B40" s="49"/>
      <c r="C40" s="52"/>
      <c r="D40" s="52"/>
      <c r="E40" s="53"/>
      <c r="F40" s="55"/>
      <c r="G40" s="53"/>
      <c r="H40" s="52"/>
      <c r="I40" s="52"/>
      <c r="J40" s="52"/>
      <c r="K40" s="52"/>
      <c r="L40" s="52"/>
      <c r="M40" s="26"/>
      <c r="N40" s="22"/>
      <c r="O40" s="26"/>
      <c r="P40" s="22"/>
    </row>
    <row r="41" spans="1:16" ht="18.600000000000001" customHeight="1" x14ac:dyDescent="0.2">
      <c r="A41" s="35" t="s">
        <v>50</v>
      </c>
      <c r="B41" s="49"/>
      <c r="C41" s="52"/>
      <c r="D41" s="52"/>
      <c r="E41" s="53"/>
      <c r="F41" s="55"/>
      <c r="G41" s="53"/>
      <c r="H41" s="52"/>
      <c r="I41" s="52"/>
      <c r="J41" s="55"/>
      <c r="K41" s="54"/>
      <c r="L41" s="52"/>
      <c r="M41" s="26"/>
      <c r="N41" s="22"/>
      <c r="O41" s="26"/>
      <c r="P41" s="22"/>
    </row>
    <row r="42" spans="1:16" ht="22.15" customHeight="1" x14ac:dyDescent="0.2">
      <c r="A42" s="10" t="s">
        <v>51</v>
      </c>
      <c r="B42" s="31"/>
      <c r="C42" s="55"/>
      <c r="D42" s="55"/>
      <c r="E42" s="55"/>
      <c r="F42" s="55"/>
      <c r="G42" s="55"/>
      <c r="H42" s="55"/>
      <c r="I42" s="55"/>
      <c r="J42" s="55"/>
      <c r="K42" s="55"/>
      <c r="L42" s="55"/>
    </row>
    <row r="43" spans="1:16" ht="27" customHeight="1" x14ac:dyDescent="0.2">
      <c r="A43" s="34" t="s">
        <v>52</v>
      </c>
      <c r="B43" s="31">
        <v>1</v>
      </c>
      <c r="C43" s="55">
        <v>825</v>
      </c>
      <c r="D43" s="55"/>
      <c r="E43" s="56">
        <v>53083</v>
      </c>
      <c r="F43" s="55">
        <v>1</v>
      </c>
      <c r="G43" s="56">
        <v>53083</v>
      </c>
      <c r="H43" s="55">
        <v>825</v>
      </c>
      <c r="I43" s="55">
        <v>825</v>
      </c>
      <c r="J43" s="55"/>
      <c r="K43" s="55"/>
      <c r="L43" s="55"/>
      <c r="M43" s="14"/>
    </row>
    <row r="44" spans="1:16" ht="15" hidden="1" customHeight="1" x14ac:dyDescent="0.2">
      <c r="A44" s="10" t="s">
        <v>24</v>
      </c>
      <c r="B44" s="31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14"/>
    </row>
    <row r="45" spans="1:16" ht="15" x14ac:dyDescent="0.2">
      <c r="A45" s="10" t="s">
        <v>53</v>
      </c>
      <c r="B45" s="57">
        <v>1</v>
      </c>
      <c r="C45" s="55">
        <v>1140</v>
      </c>
      <c r="D45" s="55"/>
      <c r="E45" s="55">
        <v>72830</v>
      </c>
      <c r="F45" s="55">
        <v>1</v>
      </c>
      <c r="G45" s="55">
        <v>72830</v>
      </c>
      <c r="H45" s="55">
        <v>1140</v>
      </c>
      <c r="I45" s="55">
        <v>1140</v>
      </c>
      <c r="J45" s="55"/>
      <c r="K45" s="55"/>
      <c r="L45" s="55"/>
      <c r="M45" s="14"/>
    </row>
    <row r="46" spans="1:16" ht="15" x14ac:dyDescent="0.2">
      <c r="A46" s="48" t="s">
        <v>57</v>
      </c>
      <c r="B46" s="31">
        <f>SUM(B40:B45)</f>
        <v>2</v>
      </c>
      <c r="C46" s="55">
        <f>SUM(C40:C45)</f>
        <v>1965</v>
      </c>
      <c r="D46" s="55">
        <f>SUM(D40:D45)</f>
        <v>0</v>
      </c>
      <c r="E46" s="56"/>
      <c r="F46" s="55">
        <f>SUM(F40:F45)</f>
        <v>2</v>
      </c>
      <c r="G46" s="55"/>
      <c r="H46" s="55">
        <f>SUM(H40:H45)</f>
        <v>1965</v>
      </c>
      <c r="I46" s="55">
        <f>SUM(I40:I45)</f>
        <v>1965</v>
      </c>
      <c r="J46" s="55">
        <f t="shared" ref="J46:L46" si="3">SUM(J40:J45)</f>
        <v>0</v>
      </c>
      <c r="K46" s="55">
        <f t="shared" si="3"/>
        <v>0</v>
      </c>
      <c r="L46" s="55">
        <f t="shared" si="3"/>
        <v>0</v>
      </c>
      <c r="M46" s="14"/>
    </row>
    <row r="47" spans="1:16" ht="15" hidden="1" customHeight="1" x14ac:dyDescent="0.25">
      <c r="A47" s="27" t="s">
        <v>25</v>
      </c>
      <c r="B47" s="28"/>
      <c r="C47" s="11"/>
      <c r="D47" s="28"/>
      <c r="E47" s="28"/>
      <c r="F47" s="29"/>
      <c r="G47" s="29"/>
      <c r="H47" s="18"/>
      <c r="I47" s="18"/>
      <c r="J47" s="18"/>
      <c r="K47" s="18"/>
      <c r="L47" s="18"/>
    </row>
    <row r="48" spans="1:16" ht="15" x14ac:dyDescent="0.25">
      <c r="A48" s="41"/>
      <c r="B48" s="37"/>
      <c r="C48" s="38"/>
      <c r="D48" s="37"/>
      <c r="E48" s="37"/>
      <c r="F48" s="39"/>
      <c r="G48" s="39"/>
      <c r="H48" s="40"/>
      <c r="I48" s="40"/>
      <c r="J48" s="40"/>
      <c r="K48" s="40"/>
      <c r="L48" s="40"/>
    </row>
    <row r="49" spans="1:46" ht="33" customHeight="1" x14ac:dyDescent="0.2">
      <c r="A49" s="68" t="s">
        <v>56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</row>
    <row r="50" spans="1:46" ht="30.75" customHeight="1" x14ac:dyDescent="0.2">
      <c r="A50" s="68" t="s">
        <v>58</v>
      </c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</row>
    <row r="51" spans="1:46" ht="15" x14ac:dyDescent="0.25">
      <c r="A51" s="36"/>
      <c r="B51" s="37"/>
      <c r="C51" s="38"/>
      <c r="D51" s="37"/>
      <c r="E51" s="37"/>
      <c r="F51" s="39"/>
      <c r="G51" s="39"/>
      <c r="H51" s="40"/>
      <c r="I51" s="40"/>
      <c r="J51" s="40"/>
      <c r="K51" s="40"/>
      <c r="L51" s="40"/>
    </row>
    <row r="52" spans="1:46" ht="33" customHeight="1" x14ac:dyDescent="0.25">
      <c r="A52" s="75" t="s">
        <v>63</v>
      </c>
      <c r="B52" s="75"/>
      <c r="C52" s="76"/>
      <c r="D52" s="75"/>
      <c r="E52" s="77" t="s">
        <v>64</v>
      </c>
      <c r="F52" s="77"/>
      <c r="G52" s="78"/>
      <c r="H52" s="75"/>
      <c r="I52" s="75"/>
      <c r="J52" s="75"/>
      <c r="K52" s="78"/>
      <c r="L52" s="78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2"/>
      <c r="AN52" s="42"/>
      <c r="AO52" s="42"/>
      <c r="AP52" s="42"/>
      <c r="AQ52" s="42"/>
      <c r="AR52" s="42"/>
      <c r="AS52" s="42"/>
      <c r="AT52" s="43" t="s">
        <v>40</v>
      </c>
    </row>
    <row r="53" spans="1:46" ht="33" customHeight="1" x14ac:dyDescent="0.25">
      <c r="A53" s="51"/>
      <c r="B53" s="69"/>
      <c r="C53" s="69"/>
      <c r="D53" s="47"/>
      <c r="H53" s="47"/>
      <c r="I53" s="47"/>
      <c r="J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/>
      <c r="AN53"/>
      <c r="AO53"/>
      <c r="AP53"/>
      <c r="AQ53"/>
      <c r="AR53"/>
      <c r="AS53"/>
      <c r="AT53" s="43"/>
    </row>
    <row r="54" spans="1:46" ht="15.75" x14ac:dyDescent="0.25">
      <c r="A54" s="50"/>
      <c r="B54" s="44"/>
      <c r="C54" s="44"/>
      <c r="D54" s="44"/>
      <c r="E54" s="44"/>
      <c r="F54" s="44"/>
      <c r="H54" s="44"/>
      <c r="I54" s="44"/>
      <c r="J54" s="44"/>
      <c r="K54" s="44"/>
      <c r="L54" s="44"/>
      <c r="M54" s="44"/>
      <c r="N54" s="45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</row>
    <row r="55" spans="1:46" ht="15.75" customHeight="1" x14ac:dyDescent="0.25">
      <c r="A55" s="67" t="s">
        <v>65</v>
      </c>
      <c r="B55" s="67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</row>
    <row r="56" spans="1:46" ht="15.75" customHeight="1" x14ac:dyDescent="0.25">
      <c r="A56" s="46"/>
      <c r="B56" s="46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5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</row>
    <row r="57" spans="1:46" ht="12.75" customHeigh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</row>
    <row r="58" spans="1:46" x14ac:dyDescent="0.2">
      <c r="A58" s="74" t="s">
        <v>28</v>
      </c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</row>
    <row r="59" spans="1:46" ht="14.25" customHeight="1" x14ac:dyDescent="0.2">
      <c r="A59" s="63" t="s">
        <v>26</v>
      </c>
      <c r="B59" s="63"/>
      <c r="C59" s="63"/>
      <c r="D59" s="63"/>
      <c r="E59" s="63"/>
      <c r="F59" s="30"/>
      <c r="G59" s="30"/>
      <c r="H59" s="30"/>
      <c r="I59" s="30"/>
      <c r="J59" s="21"/>
      <c r="K59" s="21"/>
      <c r="L59" s="21"/>
    </row>
    <row r="60" spans="1:46" x14ac:dyDescent="0.2">
      <c r="A60" s="9" t="s">
        <v>27</v>
      </c>
      <c r="B60" s="9"/>
      <c r="C60" s="9"/>
      <c r="D60" s="9"/>
      <c r="E60" s="9"/>
      <c r="F60" s="9"/>
      <c r="G60" s="9"/>
      <c r="H60" s="9"/>
      <c r="I60" s="9"/>
      <c r="J60" s="23"/>
      <c r="K60" s="23"/>
      <c r="L60" s="23"/>
    </row>
    <row r="61" spans="1:46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46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46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46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</row>
    <row r="69" spans="1:11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</row>
  </sheetData>
  <mergeCells count="31">
    <mergeCell ref="O36:P36"/>
    <mergeCell ref="I4:J4"/>
    <mergeCell ref="O29:O30"/>
    <mergeCell ref="M36:N36"/>
    <mergeCell ref="A58:L58"/>
    <mergeCell ref="F4:F5"/>
    <mergeCell ref="G4:G5"/>
    <mergeCell ref="A59:E59"/>
    <mergeCell ref="A4:A5"/>
    <mergeCell ref="B4:B5"/>
    <mergeCell ref="C4:D4"/>
    <mergeCell ref="E4:E5"/>
    <mergeCell ref="A55:B55"/>
    <mergeCell ref="A50:L50"/>
    <mergeCell ref="A49:L49"/>
    <mergeCell ref="J36:L36"/>
    <mergeCell ref="B53:C53"/>
    <mergeCell ref="H1:L1"/>
    <mergeCell ref="A36:A38"/>
    <mergeCell ref="B36:B38"/>
    <mergeCell ref="C36:C38"/>
    <mergeCell ref="D36:D38"/>
    <mergeCell ref="E36:E38"/>
    <mergeCell ref="F36:F38"/>
    <mergeCell ref="G36:G38"/>
    <mergeCell ref="H36:H38"/>
    <mergeCell ref="I36:I38"/>
    <mergeCell ref="L37:L38"/>
    <mergeCell ref="A2:L2"/>
    <mergeCell ref="J37:J38"/>
    <mergeCell ref="K37:K38"/>
  </mergeCells>
  <printOptions horizontalCentered="1"/>
  <pageMargins left="3.937007874015748E-2" right="3.937007874015748E-2" top="0.55118110236220474" bottom="0.19685039370078741" header="0.15748031496062992" footer="0.15748031496062992"/>
  <pageSetup paperSize="9" scale="60" orientation="landscape" r:id="rId1"/>
  <ignoredErrors>
    <ignoredError sqref="J46:L46 E46:G46 C46 B46 D4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№ 2.2 (отправка)</vt:lpstr>
      <vt:lpstr>'Форма № 2.2 (отправка)'!Область_печати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Luzgina</dc:creator>
  <cp:lastModifiedBy>МойКомп</cp:lastModifiedBy>
  <cp:lastPrinted>2025-11-17T07:54:45Z</cp:lastPrinted>
  <dcterms:created xsi:type="dcterms:W3CDTF">2018-03-15T09:28:18Z</dcterms:created>
  <dcterms:modified xsi:type="dcterms:W3CDTF">2025-11-17T07:54:53Z</dcterms:modified>
</cp:coreProperties>
</file>